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5480" windowHeight="9240" activeTab="0"/>
  </bookViews>
  <sheets>
    <sheet name="Property Examples" sheetId="1" r:id="rId1"/>
  </sheets>
  <definedNames/>
  <calcPr fullCalcOnLoad="1"/>
</workbook>
</file>

<file path=xl/sharedStrings.xml><?xml version="1.0" encoding="utf-8"?>
<sst xmlns="http://schemas.openxmlformats.org/spreadsheetml/2006/main" count="155" uniqueCount="127">
  <si>
    <t>Methane</t>
  </si>
  <si>
    <t>Nitrogen</t>
  </si>
  <si>
    <t>CO</t>
  </si>
  <si>
    <t>CO2</t>
  </si>
  <si>
    <t>H2S</t>
  </si>
  <si>
    <t>Oxygen</t>
  </si>
  <si>
    <t>Water</t>
  </si>
  <si>
    <t>Helium</t>
  </si>
  <si>
    <t>Hydrogen</t>
  </si>
  <si>
    <t>neopentane</t>
  </si>
  <si>
    <t xml:space="preserve">2,2-dimethylbutane </t>
  </si>
  <si>
    <t xml:space="preserve">2-methylpentane    </t>
  </si>
  <si>
    <t xml:space="preserve">3-methylpentane    </t>
  </si>
  <si>
    <t xml:space="preserve">cyclopentane       </t>
  </si>
  <si>
    <t>Z</t>
  </si>
  <si>
    <t>Temp.</t>
  </si>
  <si>
    <t>Detail</t>
  </si>
  <si>
    <t>GERG</t>
  </si>
  <si>
    <t>Detail vs. GERG</t>
  </si>
  <si>
    <t>Gross vs. GERG</t>
  </si>
  <si>
    <t>Name</t>
  </si>
  <si>
    <t>Mole</t>
  </si>
  <si>
    <t>Percent</t>
  </si>
  <si>
    <t>Fluid string required for calling Excel routines</t>
  </si>
  <si>
    <t>Inputs</t>
  </si>
  <si>
    <t>Fluid</t>
  </si>
  <si>
    <t>C6+</t>
  </si>
  <si>
    <t>Hexane</t>
  </si>
  <si>
    <t>Heptane</t>
  </si>
  <si>
    <t>Octane</t>
  </si>
  <si>
    <t>Nonane</t>
  </si>
  <si>
    <t>Decane</t>
  </si>
  <si>
    <t>C6+631</t>
  </si>
  <si>
    <t>C6+64</t>
  </si>
  <si>
    <t>C6+55</t>
  </si>
  <si>
    <t>C6+44164</t>
  </si>
  <si>
    <t>C6+5221</t>
  </si>
  <si>
    <t>Actual</t>
  </si>
  <si>
    <t>Pressure</t>
  </si>
  <si>
    <t>g/mol</t>
  </si>
  <si>
    <t>Density</t>
  </si>
  <si>
    <t>Pressure*</t>
  </si>
  <si>
    <t>Molar Mass</t>
  </si>
  <si>
    <t>Compositions*</t>
  </si>
  <si>
    <t>*Cells for C6, C7, C8, C9, and C10 show split for C6+. Compositions for fluids not available in AGA-8 are added to those for the appropriate substitute fluids</t>
  </si>
  <si>
    <t>Calculated values</t>
  </si>
  <si>
    <t>U</t>
  </si>
  <si>
    <t>H</t>
  </si>
  <si>
    <t>S</t>
  </si>
  <si>
    <t>Cv</t>
  </si>
  <si>
    <t>Cp</t>
  </si>
  <si>
    <t>W</t>
  </si>
  <si>
    <t>JT</t>
  </si>
  <si>
    <t>Other properties</t>
  </si>
  <si>
    <t>D</t>
  </si>
  <si>
    <t>Method 1</t>
  </si>
  <si>
    <t>Method 2</t>
  </si>
  <si>
    <t>Calculations from Gross Methods 1 and 2</t>
  </si>
  <si>
    <t>The following is for information only.  The values are defined in the VB code.</t>
  </si>
  <si>
    <t>Densities, pressures, or compressibility factors are obtained through calls to XDetail, XGross, or XGERG, where the letter X is D, P, or Z.</t>
  </si>
  <si>
    <t>Other examples are given in the sections below.</t>
  </si>
  <si>
    <t>All user inputs are shown in yellow.</t>
  </si>
  <si>
    <t>Multiple examples are shown below for calculating properties from either the DETAIL, GROSS, or, GERG models.</t>
  </si>
  <si>
    <t>*In this section, pressures should match the one used as input for density</t>
  </si>
  <si>
    <t>Compressibility Factor</t>
  </si>
  <si>
    <t>Speed of Sound</t>
  </si>
  <si>
    <t>Energy</t>
  </si>
  <si>
    <t>Enthalpy</t>
  </si>
  <si>
    <t>Entropy</t>
  </si>
  <si>
    <t>Isochoric Heat Capacity</t>
  </si>
  <si>
    <t>Isobaric Heat Capacity</t>
  </si>
  <si>
    <t>Joule-Thomson Coefficient</t>
  </si>
  <si>
    <t>The method number is added to the end of the similar routines for the Gross method, e.g., DGross1.</t>
  </si>
  <si>
    <t>More names can be added in the VB code under subroutine C6PlusSetup</t>
  </si>
  <si>
    <t>Definitions of C6+ names</t>
  </si>
  <si>
    <t>The units can be changed to molar or mass SI in the VB code in the ExcelLinks module at the very bottom.  The number of digits displayed can also be changed.</t>
  </si>
  <si>
    <t>The letters in Column D above serve both as a simple label for visualization and as an input to the routines PropDetail, PropGross, and PropGERG.</t>
  </si>
  <si>
    <t>These three routines require one additional input than that for the DDetail etc. routines, this being the letter code of the desired property</t>
  </si>
  <si>
    <t>Gross Method 0</t>
  </si>
  <si>
    <t>dPdD</t>
  </si>
  <si>
    <t>dPdT</t>
  </si>
  <si>
    <t>dP/d(rho) at constant T</t>
  </si>
  <si>
    <t>dP/dT at constant density</t>
  </si>
  <si>
    <t xml:space="preserve"> Gross vs. Detail</t>
  </si>
  <si>
    <t>Gibbs Energy</t>
  </si>
  <si>
    <t>d^P/d(rho)^2 at constant T</t>
  </si>
  <si>
    <t>Isentropic exponent</t>
  </si>
  <si>
    <t>K</t>
  </si>
  <si>
    <t>Rel. Dens. at Ref. Conditions</t>
  </si>
  <si>
    <t>Percent differences in density between methods</t>
  </si>
  <si>
    <t>Total percent:</t>
  </si>
  <si>
    <t>The starting point is shown in columns J and K where the fluid names and their mole percents are entered.  These can be in any order, and it is not required that all 21 components are listed.</t>
  </si>
  <si>
    <t>Argon</t>
  </si>
  <si>
    <t>Molar Mass**</t>
  </si>
  <si>
    <t>Vol. Heating Value at Ref. Cond.***</t>
  </si>
  <si>
    <t>**The calculated values of the molar mass do not match those from GPA-2145, rather they come from the molar masses defined in each equation of state</t>
  </si>
  <si>
    <t>***This is not a rigorous calculation of the heating value from AGA-5 or GPA-2172, but an estimate from the GROSS method</t>
  </si>
  <si>
    <t>Molar Heating Value*</t>
  </si>
  <si>
    <t>Mass Heating Value*</t>
  </si>
  <si>
    <t>Volumetric Heating Value*</t>
  </si>
  <si>
    <t>*The relative densities and heating values are those required by Methods 1 and 2 in the GROSS equation of state at the reference state, and are not the values at the specified T and P</t>
  </si>
  <si>
    <t>***WARNING***</t>
  </si>
  <si>
    <t>No checks are made in the calculations below to ensure that the state point is single-phase.</t>
  </si>
  <si>
    <t>It is up to the user to locate the phase boundaries that can be used to identify the state.</t>
  </si>
  <si>
    <t>Fluids to be reassigned (from here to the bottom) ---&gt;</t>
  </si>
  <si>
    <t xml:space="preserve">      See table to the far right and above for definitions of C6+      </t>
  </si>
  <si>
    <t>Ethane</t>
  </si>
  <si>
    <t>Propane</t>
  </si>
  <si>
    <t>Isobutane</t>
  </si>
  <si>
    <t>Butane</t>
  </si>
  <si>
    <t>Isopentane</t>
  </si>
  <si>
    <t>Pentane</t>
  </si>
  <si>
    <t>Calculated values for states that are actually 2-phase will be returned as metastable states, and will not be correct.</t>
  </si>
  <si>
    <t>Order of cells does not have to match that of the AGA-8 documents</t>
  </si>
  <si>
    <t>Method 1 requires these inputs:  Temperature, pressure, mole percent CO2, relative density, and volumetric heating value.</t>
  </si>
  <si>
    <t>Method 2 requires these inputs:  Temperature, pressure, mole percent nitrogen, mole percent CO2, and relative density.</t>
  </si>
  <si>
    <t>For example, to obtain density from T and P, you would write "=DDetail(J17,T,P)", where T and P are your specified temperature and pressure, and J17 contains the fluid string.</t>
  </si>
  <si>
    <t>Cell J17 shows a call to the routine FluidString that sets up a string that can be used in all calls to the AGA-8 property routines.</t>
  </si>
  <si>
    <t>d2PdD2</t>
  </si>
  <si>
    <t>Mm</t>
  </si>
  <si>
    <t>G</t>
  </si>
  <si>
    <t>Temperature</t>
  </si>
  <si>
    <t>Nitrogen mole percent</t>
  </si>
  <si>
    <t>CO2 mole percent</t>
  </si>
  <si>
    <t>Relative density</t>
  </si>
  <si>
    <t>Volumetric heating value</t>
  </si>
  <si>
    <t>Rel. Dens.*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</si>
</sst>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000"/>
    <numFmt numFmtId="172" formatCode="0.000000"/>
    <numFmt numFmtId="173" formatCode="0.0%"/>
    <numFmt numFmtId="174" formatCode="0.000%"/>
    <numFmt numFmtId="175" formatCode="0.0000%"/>
    <numFmt numFmtId="176" formatCode="0.00000%"/>
    <numFmt numFmtId="177" formatCode="0.000000000"/>
  </numFmts>
  <fonts count="49">
    <font>
      <sz val="10"/>
      <name val="Arial"/>
      <family val="0"/>
    </font>
    <font>
      <sz val="8"/>
      <name val="Arial"/>
      <family val="2"/>
    </font>
    <font>
      <sz val="9"/>
      <color indexed="8"/>
      <name val="Arial"/>
      <family val="2"/>
    </font>
    <font>
      <sz val="9"/>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62"/>
      <name val="Arial"/>
      <family val="2"/>
    </font>
    <font>
      <b/>
      <sz val="9"/>
      <color indexed="9"/>
      <name val="Arial"/>
      <family val="2"/>
    </font>
    <font>
      <sz val="9"/>
      <color indexed="62"/>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7030A0"/>
      <name val="Arial"/>
      <family val="2"/>
    </font>
    <font>
      <b/>
      <sz val="9"/>
      <color rgb="FFFFFFFF"/>
      <name val="Arial"/>
      <family val="2"/>
    </font>
    <font>
      <sz val="9"/>
      <color rgb="FF1F497D"/>
      <name val="Courier New"/>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27"/>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6">
    <xf numFmtId="0" fontId="0" fillId="0" borderId="0" xfId="0" applyAlignment="1">
      <alignment/>
    </xf>
    <xf numFmtId="0" fontId="3" fillId="0" borderId="0" xfId="0" applyFont="1" applyAlignment="1">
      <alignment horizontal="left"/>
    </xf>
    <xf numFmtId="0" fontId="3" fillId="0" borderId="0"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4" fillId="0" borderId="0" xfId="0" applyFont="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0" fillId="0" borderId="0" xfId="0" applyAlignment="1">
      <alignment horizontal="left"/>
    </xf>
    <xf numFmtId="0" fontId="3" fillId="33" borderId="24" xfId="0" applyFont="1" applyFill="1" applyBorder="1" applyAlignment="1">
      <alignment horizontal="left"/>
    </xf>
    <xf numFmtId="0" fontId="3" fillId="33" borderId="22" xfId="0" applyFont="1" applyFill="1" applyBorder="1" applyAlignment="1">
      <alignment horizontal="left"/>
    </xf>
    <xf numFmtId="0" fontId="3" fillId="33" borderId="14" xfId="0" applyFont="1" applyFill="1" applyBorder="1" applyAlignment="1">
      <alignment horizontal="left"/>
    </xf>
    <xf numFmtId="0" fontId="3" fillId="33" borderId="16" xfId="0" applyFont="1" applyFill="1" applyBorder="1" applyAlignment="1">
      <alignment horizontal="left"/>
    </xf>
    <xf numFmtId="0" fontId="3" fillId="33" borderId="10" xfId="0" applyFont="1" applyFill="1" applyBorder="1" applyAlignment="1">
      <alignment horizontal="left"/>
    </xf>
    <xf numFmtId="0" fontId="3" fillId="33" borderId="11" xfId="0" applyFont="1" applyFill="1" applyBorder="1" applyAlignment="1">
      <alignment horizontal="left"/>
    </xf>
    <xf numFmtId="0" fontId="2" fillId="33" borderId="11" xfId="0" applyFont="1" applyFill="1" applyBorder="1" applyAlignment="1">
      <alignment horizontal="left" vertical="top"/>
    </xf>
    <xf numFmtId="0" fontId="2" fillId="33" borderId="12" xfId="0" applyFont="1" applyFill="1" applyBorder="1" applyAlignment="1">
      <alignment horizontal="left" vertical="top"/>
    </xf>
    <xf numFmtId="0" fontId="3" fillId="0" borderId="0" xfId="0" applyFont="1" applyFill="1" applyBorder="1" applyAlignment="1">
      <alignment horizontal="left"/>
    </xf>
    <xf numFmtId="0" fontId="3" fillId="34" borderId="0" xfId="0" applyFont="1" applyFill="1" applyAlignment="1">
      <alignment horizontal="left"/>
    </xf>
    <xf numFmtId="0" fontId="3" fillId="0" borderId="13" xfId="0" applyFont="1" applyBorder="1" applyAlignment="1">
      <alignment horizontal="right"/>
    </xf>
    <xf numFmtId="0" fontId="4" fillId="34" borderId="0" xfId="0" applyFont="1" applyFill="1" applyAlignment="1">
      <alignment horizontal="left"/>
    </xf>
    <xf numFmtId="0" fontId="3" fillId="34" borderId="0" xfId="0" applyFont="1" applyFill="1" applyBorder="1" applyAlignment="1">
      <alignment horizontal="left"/>
    </xf>
    <xf numFmtId="0" fontId="3" fillId="35" borderId="17" xfId="0" applyFont="1" applyFill="1" applyBorder="1" applyAlignment="1">
      <alignment horizontal="left"/>
    </xf>
    <xf numFmtId="0" fontId="3" fillId="35" borderId="18" xfId="0" applyFont="1" applyFill="1" applyBorder="1" applyAlignment="1">
      <alignment horizontal="left"/>
    </xf>
    <xf numFmtId="0" fontId="3" fillId="35" borderId="14" xfId="0" applyFont="1" applyFill="1" applyBorder="1" applyAlignment="1">
      <alignment horizontal="left"/>
    </xf>
    <xf numFmtId="0" fontId="3" fillId="35" borderId="16" xfId="0" applyFont="1" applyFill="1" applyBorder="1" applyAlignment="1">
      <alignment horizontal="left"/>
    </xf>
    <xf numFmtId="0" fontId="3" fillId="35" borderId="0" xfId="0" applyFont="1" applyFill="1" applyAlignment="1">
      <alignment horizontal="left"/>
    </xf>
    <xf numFmtId="0" fontId="0" fillId="35" borderId="0" xfId="0" applyFill="1" applyAlignment="1">
      <alignment horizontal="left"/>
    </xf>
    <xf numFmtId="0" fontId="3" fillId="35" borderId="0" xfId="0" applyFont="1" applyFill="1" applyBorder="1" applyAlignment="1">
      <alignment horizontal="left"/>
    </xf>
    <xf numFmtId="0" fontId="3" fillId="35" borderId="0" xfId="0" applyFont="1" applyFill="1" applyAlignment="1">
      <alignment horizontal="right"/>
    </xf>
    <xf numFmtId="0" fontId="3" fillId="35" borderId="13" xfId="0" applyFont="1" applyFill="1" applyBorder="1" applyAlignment="1">
      <alignment horizontal="right"/>
    </xf>
    <xf numFmtId="0" fontId="2" fillId="35" borderId="13" xfId="0" applyFont="1" applyFill="1" applyBorder="1" applyAlignment="1">
      <alignment horizontal="right" vertical="top"/>
    </xf>
    <xf numFmtId="0" fontId="3" fillId="34" borderId="0" xfId="0" applyFont="1" applyFill="1" applyAlignment="1">
      <alignment horizontal="right"/>
    </xf>
    <xf numFmtId="0" fontId="3" fillId="0" borderId="0" xfId="0" applyFont="1" applyFill="1" applyAlignment="1">
      <alignment horizontal="left"/>
    </xf>
    <xf numFmtId="0" fontId="3" fillId="0" borderId="0" xfId="0" applyFont="1" applyBorder="1" applyAlignment="1">
      <alignment horizontal="right"/>
    </xf>
    <xf numFmtId="0" fontId="3" fillId="33" borderId="0" xfId="0" applyFont="1" applyFill="1" applyAlignment="1">
      <alignment horizontal="center"/>
    </xf>
    <xf numFmtId="0" fontId="3" fillId="33" borderId="0" xfId="0" applyFont="1" applyFill="1" applyBorder="1" applyAlignment="1">
      <alignment horizontal="center"/>
    </xf>
    <xf numFmtId="0" fontId="3" fillId="0" borderId="0" xfId="0" applyFont="1" applyBorder="1" applyAlignment="1">
      <alignment horizontal="center"/>
    </xf>
    <xf numFmtId="174" fontId="3" fillId="0" borderId="10" xfId="59" applyNumberFormat="1" applyFont="1" applyBorder="1" applyAlignment="1">
      <alignment horizontal="left"/>
    </xf>
    <xf numFmtId="174" fontId="3" fillId="0" borderId="11" xfId="59" applyNumberFormat="1" applyFont="1" applyBorder="1" applyAlignment="1">
      <alignment horizontal="left"/>
    </xf>
    <xf numFmtId="174" fontId="3" fillId="0" borderId="12" xfId="59" applyNumberFormat="1" applyFont="1" applyBorder="1" applyAlignment="1">
      <alignment horizontal="left"/>
    </xf>
    <xf numFmtId="0" fontId="46" fillId="0" borderId="0" xfId="0" applyFont="1" applyAlignment="1">
      <alignment horizontal="left"/>
    </xf>
    <xf numFmtId="0" fontId="46" fillId="0" borderId="0" xfId="0" applyFont="1" applyBorder="1" applyAlignment="1">
      <alignment horizontal="left"/>
    </xf>
    <xf numFmtId="0" fontId="3" fillId="36" borderId="0" xfId="0" applyFont="1" applyFill="1" applyAlignment="1">
      <alignment horizontal="left"/>
    </xf>
    <xf numFmtId="0" fontId="3" fillId="0" borderId="20" xfId="0" applyFont="1" applyFill="1" applyBorder="1" applyAlignment="1">
      <alignment horizontal="left"/>
    </xf>
    <xf numFmtId="0" fontId="3" fillId="36" borderId="0" xfId="0" applyFont="1" applyFill="1" applyBorder="1" applyAlignment="1">
      <alignment horizontal="left"/>
    </xf>
    <xf numFmtId="0" fontId="3" fillId="33" borderId="15" xfId="0" applyFont="1" applyFill="1" applyBorder="1" applyAlignment="1">
      <alignment horizontal="left"/>
    </xf>
    <xf numFmtId="0" fontId="3" fillId="37" borderId="0" xfId="0" applyFont="1" applyFill="1" applyAlignment="1">
      <alignment horizontal="left"/>
    </xf>
    <xf numFmtId="0" fontId="47" fillId="37" borderId="0" xfId="0" applyFont="1" applyFill="1" applyAlignment="1">
      <alignment horizontal="left"/>
    </xf>
    <xf numFmtId="0" fontId="3" fillId="0" borderId="0" xfId="0" applyNumberFormat="1" applyFont="1" applyBorder="1" applyAlignment="1">
      <alignment horizontal="left"/>
    </xf>
    <xf numFmtId="177" fontId="48" fillId="0" borderId="0" xfId="0" applyNumberFormat="1" applyFont="1" applyBorder="1" applyAlignment="1">
      <alignment vertical="center"/>
    </xf>
    <xf numFmtId="0" fontId="3" fillId="0" borderId="0" xfId="0" applyFont="1" applyAlignment="1">
      <alignment horizontal="right"/>
    </xf>
    <xf numFmtId="0" fontId="0" fillId="0" borderId="0" xfId="0" applyFont="1" applyAlignment="1">
      <alignment horizontal="right"/>
    </xf>
    <xf numFmtId="0" fontId="3" fillId="0" borderId="0" xfId="0" applyNumberFormat="1" applyFont="1" applyAlignment="1">
      <alignment horizontal="right"/>
    </xf>
    <xf numFmtId="0" fontId="3" fillId="0" borderId="13" xfId="0" applyFont="1" applyFill="1" applyBorder="1" applyAlignment="1">
      <alignment horizontal="left"/>
    </xf>
    <xf numFmtId="0" fontId="3" fillId="0" borderId="19"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3399"/>
  </sheetPr>
  <dimension ref="A1:T125"/>
  <sheetViews>
    <sheetView tabSelected="1" zoomScalePageLayoutView="0" workbookViewId="0" topLeftCell="A6">
      <selection activeCell="A49" sqref="A49"/>
    </sheetView>
  </sheetViews>
  <sheetFormatPr defaultColWidth="9.140625" defaultRowHeight="12.75"/>
  <cols>
    <col min="1" max="1" width="31.00390625" style="1" customWidth="1"/>
    <col min="2" max="2" width="24.7109375" style="1" customWidth="1"/>
    <col min="3" max="3" width="22.8515625" style="1" customWidth="1"/>
    <col min="4" max="4" width="14.28125" style="1" customWidth="1"/>
    <col min="5" max="5" width="16.8515625" style="1" customWidth="1"/>
    <col min="6" max="6" width="17.421875" style="1" customWidth="1"/>
    <col min="7" max="7" width="7.7109375" style="1" customWidth="1"/>
    <col min="8" max="8" width="5.28125" style="1" customWidth="1"/>
    <col min="9" max="9" width="13.421875" style="1" customWidth="1"/>
    <col min="10" max="10" width="16.7109375" style="1" customWidth="1"/>
    <col min="11" max="11" width="22.28125" style="1" customWidth="1"/>
    <col min="12" max="12" width="16.140625" style="1" bestFit="1" customWidth="1"/>
    <col min="13" max="13" width="19.140625" style="1" customWidth="1"/>
    <col min="14" max="14" width="14.140625" style="1" bestFit="1" customWidth="1"/>
    <col min="15" max="15" width="15.8515625" style="1" customWidth="1"/>
    <col min="16" max="16" width="16.140625" style="1" bestFit="1" customWidth="1"/>
    <col min="17" max="18" width="13.140625" style="1" bestFit="1" customWidth="1"/>
    <col min="19" max="19" width="14.140625" style="1" bestFit="1" customWidth="1"/>
    <col min="20" max="16384" width="9.140625" style="1" customWidth="1"/>
  </cols>
  <sheetData>
    <row r="1" s="28" customFormat="1" ht="12">
      <c r="A1" s="28" t="s">
        <v>62</v>
      </c>
    </row>
    <row r="2" s="28" customFormat="1" ht="12">
      <c r="A2" s="28" t="s">
        <v>91</v>
      </c>
    </row>
    <row r="3" s="28" customFormat="1" ht="12">
      <c r="A3" s="28" t="s">
        <v>117</v>
      </c>
    </row>
    <row r="4" s="28" customFormat="1" ht="12">
      <c r="A4" s="28" t="s">
        <v>59</v>
      </c>
    </row>
    <row r="5" s="28" customFormat="1" ht="12">
      <c r="A5" s="28" t="s">
        <v>116</v>
      </c>
    </row>
    <row r="6" s="28" customFormat="1" ht="12">
      <c r="A6" s="28" t="s">
        <v>60</v>
      </c>
    </row>
    <row r="7" s="28" customFormat="1" ht="12">
      <c r="A7" s="28" t="s">
        <v>75</v>
      </c>
    </row>
    <row r="8" s="28" customFormat="1" ht="12">
      <c r="A8" s="28" t="s">
        <v>61</v>
      </c>
    </row>
    <row r="10" spans="1:8" ht="12">
      <c r="A10" s="58" t="s">
        <v>101</v>
      </c>
      <c r="B10" s="57"/>
      <c r="C10" s="57"/>
      <c r="D10" s="57"/>
      <c r="E10" s="57"/>
      <c r="F10" s="57"/>
      <c r="G10" s="57"/>
      <c r="H10" s="57"/>
    </row>
    <row r="11" spans="1:8" ht="12">
      <c r="A11" s="58" t="s">
        <v>102</v>
      </c>
      <c r="B11" s="57"/>
      <c r="C11" s="57"/>
      <c r="D11" s="57"/>
      <c r="E11" s="57"/>
      <c r="F11" s="57"/>
      <c r="G11" s="57"/>
      <c r="H11" s="57"/>
    </row>
    <row r="12" spans="1:8" ht="12">
      <c r="A12" s="58" t="s">
        <v>103</v>
      </c>
      <c r="B12" s="57"/>
      <c r="C12" s="57"/>
      <c r="D12" s="57"/>
      <c r="E12" s="57"/>
      <c r="F12" s="57"/>
      <c r="G12" s="57"/>
      <c r="H12" s="57"/>
    </row>
    <row r="13" spans="1:8" ht="12">
      <c r="A13" s="58" t="s">
        <v>112</v>
      </c>
      <c r="B13" s="57"/>
      <c r="C13" s="57"/>
      <c r="D13" s="57"/>
      <c r="E13" s="57"/>
      <c r="F13" s="57"/>
      <c r="G13" s="57"/>
      <c r="H13" s="57"/>
    </row>
    <row r="16" spans="1:13" ht="12">
      <c r="A16" s="43"/>
      <c r="J16" s="36" t="s">
        <v>23</v>
      </c>
      <c r="K16" s="36"/>
      <c r="L16" s="36"/>
      <c r="M16" s="36"/>
    </row>
    <row r="17" ht="12">
      <c r="J17" s="1" t="str">
        <f>FluidString($J$21:$J$48,K$21:K$48)</f>
        <v>Methane;77.824;Nitrogen;2;CO2;6;Ethane;8;Propane;3;Isobutane;0.15;Butane;0.3;Isopentane;0.05;Pentane;0.1;Hexane;0.03;Heptane;0.008;Octane;0.004;Nonane;0.003;Decane;0.001;Hydrogen;0.4;Oxygen;0.5;CO;0.2;Water;0.01;H2S;0.25;Helium;0.7;Argon;0.1;C6+44164;0.2;neopentane;0.02;2,2-dimethylbutane ;0.035;2-methylpentane    ;0.015;3-methylpentane    ;0.055;cyclopentane       ;0.045</v>
      </c>
    </row>
    <row r="18" spans="2:3" ht="12.75" thickBot="1">
      <c r="B18" s="28" t="s">
        <v>24</v>
      </c>
      <c r="C18" s="28"/>
    </row>
    <row r="19" spans="2:13" ht="12">
      <c r="B19" s="32" t="s">
        <v>15</v>
      </c>
      <c r="C19" s="33" t="s">
        <v>38</v>
      </c>
      <c r="J19" s="28" t="s">
        <v>25</v>
      </c>
      <c r="K19" s="28" t="s">
        <v>21</v>
      </c>
      <c r="L19" s="30" t="s">
        <v>37</v>
      </c>
      <c r="M19" s="2"/>
    </row>
    <row r="20" spans="2:13" ht="12.75" thickBot="1">
      <c r="B20" s="34" t="str">
        <f>GetUnits("T")</f>
        <v>F</v>
      </c>
      <c r="C20" s="35" t="str">
        <f>GetUnits("P")</f>
        <v>psia</v>
      </c>
      <c r="J20" s="28" t="s">
        <v>20</v>
      </c>
      <c r="K20" s="28" t="s">
        <v>22</v>
      </c>
      <c r="L20" s="30" t="s">
        <v>43</v>
      </c>
      <c r="M20" s="2"/>
    </row>
    <row r="21" spans="1:15" ht="12.75" thickBot="1">
      <c r="A21" s="2"/>
      <c r="B21" s="19">
        <v>60</v>
      </c>
      <c r="C21" s="20">
        <v>150</v>
      </c>
      <c r="J21" s="3" t="s">
        <v>0</v>
      </c>
      <c r="K21" s="54">
        <f>100-SUM(K22:K48)</f>
        <v>77.824</v>
      </c>
      <c r="L21" s="3">
        <f aca="true" t="shared" si="0" ref="L21:L48">Comp($J$17,$J21)</f>
        <v>77.82399999999998</v>
      </c>
      <c r="M21" s="2"/>
      <c r="O21" s="1" t="s">
        <v>74</v>
      </c>
    </row>
    <row r="22" spans="10:15" ht="12">
      <c r="J22" s="4" t="s">
        <v>1</v>
      </c>
      <c r="K22" s="55">
        <v>2</v>
      </c>
      <c r="L22" s="4">
        <f t="shared" si="0"/>
        <v>1.9999999999999998</v>
      </c>
      <c r="M22" s="2"/>
      <c r="O22" s="1" t="s">
        <v>58</v>
      </c>
    </row>
    <row r="23" spans="2:15" ht="12.75" thickBot="1">
      <c r="B23" s="28" t="s">
        <v>45</v>
      </c>
      <c r="C23" s="28"/>
      <c r="D23" s="28"/>
      <c r="E23" s="28"/>
      <c r="I23" s="51"/>
      <c r="J23" s="4" t="s">
        <v>3</v>
      </c>
      <c r="K23" s="53">
        <v>6</v>
      </c>
      <c r="L23" s="4">
        <f t="shared" si="0"/>
        <v>5.999999999999999</v>
      </c>
      <c r="M23" s="2"/>
      <c r="O23" s="1" t="s">
        <v>73</v>
      </c>
    </row>
    <row r="24" spans="2:20" ht="13.5" thickBot="1">
      <c r="B24" s="28" t="s">
        <v>16</v>
      </c>
      <c r="C24" s="28" t="s">
        <v>17</v>
      </c>
      <c r="D24" s="28" t="s">
        <v>78</v>
      </c>
      <c r="E24" s="28"/>
      <c r="F24"/>
      <c r="G24"/>
      <c r="I24" s="51"/>
      <c r="J24" s="4" t="s">
        <v>106</v>
      </c>
      <c r="K24" s="55">
        <v>8</v>
      </c>
      <c r="L24" s="4">
        <f t="shared" si="0"/>
        <v>7.999999999999999</v>
      </c>
      <c r="M24" s="2"/>
      <c r="O24" s="17" t="s">
        <v>20</v>
      </c>
      <c r="P24" s="15" t="s">
        <v>27</v>
      </c>
      <c r="Q24" s="15" t="s">
        <v>28</v>
      </c>
      <c r="R24" s="15" t="s">
        <v>29</v>
      </c>
      <c r="S24" s="15" t="s">
        <v>30</v>
      </c>
      <c r="T24" s="16" t="s">
        <v>31</v>
      </c>
    </row>
    <row r="25" spans="1:20" ht="12.75">
      <c r="A25" s="39" t="s">
        <v>40</v>
      </c>
      <c r="B25" s="10">
        <f>DDetail($J$17,$B$21,$C$21)</f>
        <v>0.568839</v>
      </c>
      <c r="C25" s="13">
        <f>DGERG($J$17,$B$21,$C$21)</f>
        <v>0.568556</v>
      </c>
      <c r="D25" s="11">
        <f>DGross($J$17,$B$21,$C$21)</f>
        <v>0.56857</v>
      </c>
      <c r="E25" s="36" t="str">
        <f>GetUnits("D")</f>
        <v>lbm/ft^3</v>
      </c>
      <c r="F25"/>
      <c r="G25"/>
      <c r="I25" s="51"/>
      <c r="J25" s="4" t="s">
        <v>107</v>
      </c>
      <c r="K25" s="55">
        <v>3</v>
      </c>
      <c r="L25" s="4">
        <f t="shared" si="0"/>
        <v>2.9999999999999996</v>
      </c>
      <c r="M25" s="2"/>
      <c r="O25" s="3" t="s">
        <v>26</v>
      </c>
      <c r="P25" s="13">
        <v>0.6</v>
      </c>
      <c r="Q25" s="13">
        <v>0.3</v>
      </c>
      <c r="R25" s="13">
        <v>0.1</v>
      </c>
      <c r="S25" s="13"/>
      <c r="T25" s="11"/>
    </row>
    <row r="26" spans="1:20" ht="12.75">
      <c r="A26" s="39" t="s">
        <v>14</v>
      </c>
      <c r="B26" s="6">
        <f>ZDetail($J$17,$B$21,$C$21)</f>
        <v>0.971358</v>
      </c>
      <c r="C26" s="2">
        <f>ZGERG($J$17,$B$21,$C$21)</f>
        <v>0.971817</v>
      </c>
      <c r="D26" s="12">
        <f>ZGross($J$17,$B$21,$C$21)</f>
        <v>0.971816</v>
      </c>
      <c r="E26" s="36"/>
      <c r="F26"/>
      <c r="G26"/>
      <c r="I26" s="51"/>
      <c r="J26" s="4" t="s">
        <v>108</v>
      </c>
      <c r="K26" s="53">
        <v>0.15</v>
      </c>
      <c r="L26" s="4">
        <f t="shared" si="0"/>
        <v>0.15</v>
      </c>
      <c r="M26" s="2"/>
      <c r="O26" s="4" t="s">
        <v>32</v>
      </c>
      <c r="P26" s="2">
        <v>0.6</v>
      </c>
      <c r="Q26" s="2">
        <v>0.3</v>
      </c>
      <c r="R26" s="2">
        <v>0.1</v>
      </c>
      <c r="S26" s="2"/>
      <c r="T26" s="12"/>
    </row>
    <row r="27" spans="1:20" ht="12.75">
      <c r="A27" s="39" t="s">
        <v>41</v>
      </c>
      <c r="B27" s="6">
        <f>PDetail($J$17,$B$21,B25)</f>
        <v>150</v>
      </c>
      <c r="C27" s="2">
        <f>PGERG($J$17,$B$21,C25)</f>
        <v>150</v>
      </c>
      <c r="D27" s="12">
        <f>PGross($J$17,$B$21,D25)</f>
        <v>150</v>
      </c>
      <c r="E27" s="36" t="str">
        <f>GetUnits("P")</f>
        <v>psia</v>
      </c>
      <c r="F27"/>
      <c r="G27"/>
      <c r="I27" s="51"/>
      <c r="J27" s="4" t="s">
        <v>109</v>
      </c>
      <c r="K27" s="55">
        <v>0.3</v>
      </c>
      <c r="L27" s="4">
        <f t="shared" si="0"/>
        <v>0.3</v>
      </c>
      <c r="M27" s="2"/>
      <c r="O27" s="4" t="s">
        <v>33</v>
      </c>
      <c r="P27" s="2">
        <v>0.6</v>
      </c>
      <c r="Q27" s="2">
        <v>0.4</v>
      </c>
      <c r="R27" s="2"/>
      <c r="S27" s="2"/>
      <c r="T27" s="12"/>
    </row>
    <row r="28" spans="1:20" ht="12.75">
      <c r="A28" s="39" t="s">
        <v>65</v>
      </c>
      <c r="B28" s="6">
        <f>WDetail($J$17,$B$21,$C$21)</f>
        <v>1248.77</v>
      </c>
      <c r="C28" s="2">
        <f>WGERG($J$17,$B$21,$C$21)</f>
        <v>1249.01</v>
      </c>
      <c r="D28" s="12"/>
      <c r="E28" s="36" t="str">
        <f>GetUnits("W")</f>
        <v>ft/s</v>
      </c>
      <c r="F28"/>
      <c r="G28"/>
      <c r="I28" s="51"/>
      <c r="J28" s="4" t="s">
        <v>110</v>
      </c>
      <c r="K28" s="53">
        <v>0.05</v>
      </c>
      <c r="L28" s="4">
        <f t="shared" si="0"/>
        <v>0.05</v>
      </c>
      <c r="M28" s="2"/>
      <c r="O28" s="4" t="s">
        <v>34</v>
      </c>
      <c r="P28" s="2">
        <v>0.5</v>
      </c>
      <c r="Q28" s="2">
        <v>0.5</v>
      </c>
      <c r="R28" s="2"/>
      <c r="S28" s="2"/>
      <c r="T28" s="12"/>
    </row>
    <row r="29" spans="1:20" ht="12">
      <c r="A29" s="39" t="s">
        <v>93</v>
      </c>
      <c r="B29" s="6">
        <f>MmDetail($J$17)</f>
        <v>20.5433</v>
      </c>
      <c r="C29" s="2">
        <f>MmGERG($J$17)</f>
        <v>20.5427</v>
      </c>
      <c r="D29" s="12">
        <f>MmGross($J$17)</f>
        <v>20.5433</v>
      </c>
      <c r="E29" s="36" t="s">
        <v>39</v>
      </c>
      <c r="I29" s="51"/>
      <c r="J29" s="4" t="s">
        <v>111</v>
      </c>
      <c r="K29" s="55">
        <v>0.1</v>
      </c>
      <c r="L29" s="4">
        <f t="shared" si="0"/>
        <v>0.16499999999999998</v>
      </c>
      <c r="M29" s="2"/>
      <c r="O29" s="4" t="s">
        <v>35</v>
      </c>
      <c r="P29" s="2">
        <v>0.4</v>
      </c>
      <c r="Q29" s="2">
        <v>0.4</v>
      </c>
      <c r="R29" s="2">
        <v>0.1</v>
      </c>
      <c r="S29" s="2">
        <v>0.06</v>
      </c>
      <c r="T29" s="12">
        <v>0.04</v>
      </c>
    </row>
    <row r="30" spans="1:20" ht="12.75" thickBot="1">
      <c r="A30" s="39" t="s">
        <v>88</v>
      </c>
      <c r="B30" s="6"/>
      <c r="C30" s="2"/>
      <c r="D30" s="12">
        <f>PropGross("RD",$J$17,0,0)</f>
        <v>0.710973</v>
      </c>
      <c r="E30" s="36"/>
      <c r="I30" s="51"/>
      <c r="J30" s="4" t="s">
        <v>27</v>
      </c>
      <c r="K30" s="55">
        <v>0.03</v>
      </c>
      <c r="L30" s="4">
        <f t="shared" si="0"/>
        <v>0.215</v>
      </c>
      <c r="M30" s="2"/>
      <c r="O30" s="5" t="s">
        <v>36</v>
      </c>
      <c r="P30" s="8">
        <v>0.5</v>
      </c>
      <c r="Q30" s="8">
        <v>0.2</v>
      </c>
      <c r="R30" s="8">
        <v>0.2</v>
      </c>
      <c r="S30" s="8">
        <v>0.1</v>
      </c>
      <c r="T30" s="9"/>
    </row>
    <row r="31" spans="1:13" ht="12.75" thickBot="1">
      <c r="A31" s="39" t="s">
        <v>94</v>
      </c>
      <c r="B31" s="7"/>
      <c r="C31" s="8"/>
      <c r="D31" s="9">
        <f>PropGross("HV",$J$17,0,0)</f>
        <v>1053.56</v>
      </c>
      <c r="E31" s="36" t="str">
        <f>GetUnits("HV")</f>
        <v>BTU/ft^3</v>
      </c>
      <c r="I31" s="51"/>
      <c r="J31" s="4" t="s">
        <v>28</v>
      </c>
      <c r="K31" s="55">
        <v>0.008</v>
      </c>
      <c r="L31" s="4">
        <f t="shared" si="0"/>
        <v>0.08800000000000001</v>
      </c>
      <c r="M31" s="2"/>
    </row>
    <row r="32" spans="2:13" ht="12.75" thickBot="1">
      <c r="B32" s="42"/>
      <c r="C32" s="28"/>
      <c r="D32" s="42" t="s">
        <v>89</v>
      </c>
      <c r="E32" s="28"/>
      <c r="I32" s="51"/>
      <c r="J32" s="4" t="s">
        <v>29</v>
      </c>
      <c r="K32" s="55">
        <v>0.004</v>
      </c>
      <c r="L32" s="4">
        <f t="shared" si="0"/>
        <v>0.024</v>
      </c>
      <c r="M32" s="2"/>
    </row>
    <row r="33" spans="2:19" ht="12">
      <c r="B33" s="28"/>
      <c r="C33" s="42" t="s">
        <v>18</v>
      </c>
      <c r="D33" s="48">
        <f>(B25-C25)/C25</f>
        <v>0.0004977522003110217</v>
      </c>
      <c r="E33" s="28"/>
      <c r="I33" s="51"/>
      <c r="J33" s="4" t="s">
        <v>30</v>
      </c>
      <c r="K33" s="55">
        <v>0.003</v>
      </c>
      <c r="L33" s="4">
        <f t="shared" si="0"/>
        <v>0.014999999999999996</v>
      </c>
      <c r="M33" s="2"/>
      <c r="P33" s="2"/>
      <c r="Q33" s="2"/>
      <c r="R33" s="2"/>
      <c r="S33" s="2"/>
    </row>
    <row r="34" spans="2:18" ht="12">
      <c r="B34" s="28"/>
      <c r="C34" s="42" t="s">
        <v>19</v>
      </c>
      <c r="D34" s="49">
        <f>(D25-C25)/C25</f>
        <v>2.462378376108864E-05</v>
      </c>
      <c r="E34" s="28"/>
      <c r="I34" s="51"/>
      <c r="J34" s="4" t="s">
        <v>31</v>
      </c>
      <c r="K34" s="55">
        <v>0.001</v>
      </c>
      <c r="L34" s="4">
        <f t="shared" si="0"/>
        <v>0.009</v>
      </c>
      <c r="M34" s="2"/>
      <c r="R34" s="2"/>
    </row>
    <row r="35" spans="2:18" ht="12.75" thickBot="1">
      <c r="B35" s="28"/>
      <c r="C35" s="42" t="s">
        <v>83</v>
      </c>
      <c r="D35" s="50">
        <f>(D25-B25)/B25</f>
        <v>-0.00047289303300224444</v>
      </c>
      <c r="E35" s="28"/>
      <c r="J35" s="4" t="s">
        <v>8</v>
      </c>
      <c r="K35" s="55">
        <v>0.4</v>
      </c>
      <c r="L35" s="4">
        <f t="shared" si="0"/>
        <v>0.4</v>
      </c>
      <c r="M35" s="2"/>
      <c r="O35" s="2"/>
      <c r="P35" s="2"/>
      <c r="Q35" s="2"/>
      <c r="R35" s="2"/>
    </row>
    <row r="36" spans="2:15" ht="12.75">
      <c r="B36" s="28"/>
      <c r="C36" s="28"/>
      <c r="D36" s="28"/>
      <c r="E36" s="28"/>
      <c r="J36" s="4" t="s">
        <v>5</v>
      </c>
      <c r="K36" s="55">
        <v>0.5</v>
      </c>
      <c r="L36" s="4">
        <f t="shared" si="0"/>
        <v>0.49999999999999994</v>
      </c>
      <c r="M36" s="2"/>
      <c r="N36" s="2"/>
      <c r="O36"/>
    </row>
    <row r="37" spans="1:15" ht="12.75">
      <c r="A37" s="14" t="s">
        <v>63</v>
      </c>
      <c r="J37" s="4" t="s">
        <v>2</v>
      </c>
      <c r="K37" s="55">
        <v>0.2</v>
      </c>
      <c r="L37" s="4">
        <f t="shared" si="0"/>
        <v>0.2</v>
      </c>
      <c r="M37" s="2"/>
      <c r="N37"/>
      <c r="O37"/>
    </row>
    <row r="38" spans="1:15" ht="12.75">
      <c r="A38" s="14" t="s">
        <v>95</v>
      </c>
      <c r="J38" s="4" t="s">
        <v>6</v>
      </c>
      <c r="K38" s="55">
        <v>0.01</v>
      </c>
      <c r="L38" s="4">
        <f t="shared" si="0"/>
        <v>0.009999999999999998</v>
      </c>
      <c r="M38" s="2"/>
      <c r="N38"/>
      <c r="O38"/>
    </row>
    <row r="39" spans="1:15" ht="12.75">
      <c r="A39" s="14" t="s">
        <v>96</v>
      </c>
      <c r="J39" s="4" t="s">
        <v>4</v>
      </c>
      <c r="K39" s="55">
        <v>0.25</v>
      </c>
      <c r="L39" s="4">
        <f t="shared" si="0"/>
        <v>0.24999999999999997</v>
      </c>
      <c r="M39" s="2"/>
      <c r="N39"/>
      <c r="O39"/>
    </row>
    <row r="40" spans="10:15" ht="12">
      <c r="J40" s="4" t="s">
        <v>7</v>
      </c>
      <c r="K40" s="55">
        <v>0.7</v>
      </c>
      <c r="L40" s="4">
        <f t="shared" si="0"/>
        <v>0.6999999999999998</v>
      </c>
      <c r="M40" s="2"/>
      <c r="N40" s="2"/>
      <c r="O40" s="2"/>
    </row>
    <row r="41" spans="10:15" ht="12">
      <c r="J41" s="4" t="s">
        <v>92</v>
      </c>
      <c r="K41" s="55">
        <v>0.1</v>
      </c>
      <c r="L41" s="4">
        <f t="shared" si="0"/>
        <v>0.1</v>
      </c>
      <c r="M41" s="2"/>
      <c r="N41" s="2"/>
      <c r="O41" s="2"/>
    </row>
    <row r="42" spans="10:15" ht="12">
      <c r="J42" s="4"/>
      <c r="K42" s="55"/>
      <c r="L42" s="4"/>
      <c r="M42" s="2"/>
      <c r="N42" s="2"/>
      <c r="O42" s="2"/>
    </row>
    <row r="43" spans="9:15" ht="12">
      <c r="I43" s="44" t="s">
        <v>104</v>
      </c>
      <c r="J43" s="4" t="s">
        <v>35</v>
      </c>
      <c r="K43" s="55">
        <v>0.2</v>
      </c>
      <c r="L43" s="4">
        <f t="shared" si="0"/>
        <v>0</v>
      </c>
      <c r="N43" s="2"/>
      <c r="O43" s="2"/>
    </row>
    <row r="44" spans="9:15" ht="12.75">
      <c r="I44" s="44" t="s">
        <v>105</v>
      </c>
      <c r="J44" s="4" t="s">
        <v>9</v>
      </c>
      <c r="K44" s="55">
        <v>0.02</v>
      </c>
      <c r="L44" s="4">
        <f t="shared" si="0"/>
        <v>0</v>
      </c>
      <c r="N44"/>
      <c r="O44" s="2"/>
    </row>
    <row r="45" spans="10:15" ht="12">
      <c r="J45" s="4" t="s">
        <v>10</v>
      </c>
      <c r="K45" s="55">
        <v>0.035</v>
      </c>
      <c r="L45" s="4">
        <f t="shared" si="0"/>
        <v>0</v>
      </c>
      <c r="M45" s="2"/>
      <c r="N45" s="2"/>
      <c r="O45" s="2"/>
    </row>
    <row r="46" spans="10:18" ht="12">
      <c r="J46" s="4" t="s">
        <v>11</v>
      </c>
      <c r="K46" s="55">
        <v>0.015</v>
      </c>
      <c r="L46" s="4">
        <f t="shared" si="0"/>
        <v>0</v>
      </c>
      <c r="M46" s="2"/>
      <c r="N46" s="2"/>
      <c r="O46" s="2"/>
      <c r="P46" s="2"/>
      <c r="Q46" s="2"/>
      <c r="R46" s="2"/>
    </row>
    <row r="47" spans="10:18" ht="12">
      <c r="J47" s="4" t="s">
        <v>12</v>
      </c>
      <c r="K47" s="55">
        <v>0.055</v>
      </c>
      <c r="L47" s="4">
        <f t="shared" si="0"/>
        <v>0</v>
      </c>
      <c r="M47" s="2"/>
      <c r="N47" s="2"/>
      <c r="O47" s="2"/>
      <c r="P47" s="2"/>
      <c r="Q47" s="2"/>
      <c r="R47" s="2"/>
    </row>
    <row r="48" spans="10:18" ht="12.75" thickBot="1">
      <c r="J48" s="5" t="s">
        <v>13</v>
      </c>
      <c r="K48" s="56">
        <v>0.045</v>
      </c>
      <c r="L48" s="5">
        <f t="shared" si="0"/>
        <v>0</v>
      </c>
      <c r="M48" s="52" t="s">
        <v>90</v>
      </c>
      <c r="N48" s="52">
        <f>SUM(L21:L48)</f>
        <v>100</v>
      </c>
      <c r="O48" s="2"/>
      <c r="P48" s="2"/>
      <c r="Q48" s="2"/>
      <c r="R48" s="2"/>
    </row>
    <row r="49" spans="9:13" ht="12.75">
      <c r="I49" s="18"/>
      <c r="J49" s="14" t="s">
        <v>113</v>
      </c>
      <c r="M49" s="2"/>
    </row>
    <row r="50" spans="9:13" ht="12.75">
      <c r="I50" s="18"/>
      <c r="J50" s="14" t="s">
        <v>44</v>
      </c>
      <c r="M50" s="2"/>
    </row>
    <row r="51" spans="9:10" ht="12.75">
      <c r="I51" s="18"/>
      <c r="J51" s="14"/>
    </row>
    <row r="52" ht="12.75">
      <c r="I52" s="18"/>
    </row>
    <row r="53" spans="2:9" ht="13.5" thickBot="1">
      <c r="B53" s="28" t="s">
        <v>24</v>
      </c>
      <c r="C53" s="28"/>
      <c r="E53" s="28" t="s">
        <v>24</v>
      </c>
      <c r="F53" s="28"/>
      <c r="I53" s="18"/>
    </row>
    <row r="54" spans="1:9" ht="12.75">
      <c r="A54" s="2"/>
      <c r="B54" s="32" t="s">
        <v>15</v>
      </c>
      <c r="C54" s="33" t="s">
        <v>38</v>
      </c>
      <c r="D54" s="2"/>
      <c r="E54" s="32" t="s">
        <v>15</v>
      </c>
      <c r="F54" s="33" t="s">
        <v>38</v>
      </c>
      <c r="I54" s="18"/>
    </row>
    <row r="55" spans="1:6" ht="12.75" thickBot="1">
      <c r="A55" s="2"/>
      <c r="B55" s="34" t="str">
        <f>GetUnits("T")</f>
        <v>F</v>
      </c>
      <c r="C55" s="35" t="str">
        <f>GetUnits("P")</f>
        <v>psia</v>
      </c>
      <c r="D55" s="2"/>
      <c r="E55" s="34" t="str">
        <f>GetUnits("T")</f>
        <v>F</v>
      </c>
      <c r="F55" s="35" t="str">
        <f>GetUnits("P")</f>
        <v>psia</v>
      </c>
    </row>
    <row r="56" spans="1:12" ht="12.75" thickBot="1">
      <c r="A56" s="2"/>
      <c r="B56" s="21">
        <v>32</v>
      </c>
      <c r="C56" s="22">
        <v>1200</v>
      </c>
      <c r="D56" s="2"/>
      <c r="E56" s="1">
        <v>100</v>
      </c>
      <c r="F56" s="1">
        <v>2000</v>
      </c>
      <c r="L56" s="2"/>
    </row>
    <row r="57" ht="12">
      <c r="L57" s="2"/>
    </row>
    <row r="58" spans="2:12" ht="12">
      <c r="B58" s="2"/>
      <c r="C58" s="2"/>
      <c r="D58" s="2"/>
      <c r="E58" s="2"/>
      <c r="F58" s="2"/>
      <c r="L58" s="2"/>
    </row>
    <row r="59" spans="2:10" ht="12">
      <c r="B59" s="31" t="s">
        <v>53</v>
      </c>
      <c r="C59" s="31"/>
      <c r="D59" s="2"/>
      <c r="E59" s="31" t="s">
        <v>53</v>
      </c>
      <c r="F59" s="31"/>
      <c r="I59" s="61"/>
      <c r="J59" s="61"/>
    </row>
    <row r="60" spans="2:12" ht="12.75" thickBot="1">
      <c r="B60" s="28" t="s">
        <v>16</v>
      </c>
      <c r="C60" s="28" t="s">
        <v>17</v>
      </c>
      <c r="D60" s="2"/>
      <c r="E60" s="28" t="s">
        <v>16</v>
      </c>
      <c r="F60" s="28" t="s">
        <v>17</v>
      </c>
      <c r="I60" s="61"/>
      <c r="J60" s="61"/>
      <c r="K60" s="61"/>
      <c r="L60" s="61"/>
    </row>
    <row r="61" spans="1:12" ht="12.75">
      <c r="A61" s="39" t="s">
        <v>42</v>
      </c>
      <c r="B61" s="10">
        <f aca="true" t="shared" si="1" ref="B61:B75">PropDetail($D61,$J$17,$B$56,$C$56)</f>
        <v>20.5433</v>
      </c>
      <c r="C61" s="11">
        <f aca="true" t="shared" si="2" ref="C61:C75">PropGERG($D61,$J$17,$B$56,$C$56)</f>
        <v>20.5427</v>
      </c>
      <c r="D61" s="45" t="s">
        <v>119</v>
      </c>
      <c r="E61" s="10">
        <f aca="true" t="shared" si="3" ref="E61:E75">PropDetail($D61,$J$17,$E$56,$F$56)</f>
        <v>20.5433</v>
      </c>
      <c r="F61" s="11">
        <f aca="true" t="shared" si="4" ref="F61:F75">PropGERG($D61,$J$17,$E$56,$F$56)</f>
        <v>20.5427</v>
      </c>
      <c r="G61" s="37" t="str">
        <f aca="true" t="shared" si="5" ref="G61:G74">GetUnits($D61)</f>
        <v>lbm/lbmol</v>
      </c>
      <c r="H61" s="37"/>
      <c r="I61" s="63"/>
      <c r="J61" s="63"/>
      <c r="K61" s="61"/>
      <c r="L61" s="61"/>
    </row>
    <row r="62" spans="1:12" ht="12.75">
      <c r="A62" s="39" t="s">
        <v>40</v>
      </c>
      <c r="B62" s="6">
        <f t="shared" si="1"/>
        <v>6.49088</v>
      </c>
      <c r="C62" s="12">
        <f t="shared" si="2"/>
        <v>6.48115</v>
      </c>
      <c r="D62" s="45" t="s">
        <v>54</v>
      </c>
      <c r="E62" s="6">
        <f t="shared" si="3"/>
        <v>8.80357</v>
      </c>
      <c r="F62" s="12">
        <f t="shared" si="4"/>
        <v>8.8066</v>
      </c>
      <c r="G62" s="37" t="str">
        <f t="shared" si="5"/>
        <v>lbm/ft^3</v>
      </c>
      <c r="H62" s="37"/>
      <c r="I62" s="63"/>
      <c r="J62" s="63"/>
      <c r="K62" s="61"/>
      <c r="L62" s="61"/>
    </row>
    <row r="63" spans="1:12" ht="12.75">
      <c r="A63" s="39" t="s">
        <v>64</v>
      </c>
      <c r="B63" s="6">
        <f t="shared" si="1"/>
        <v>0.719795</v>
      </c>
      <c r="C63" s="12">
        <f t="shared" si="2"/>
        <v>0.720859</v>
      </c>
      <c r="D63" s="45" t="s">
        <v>14</v>
      </c>
      <c r="E63" s="6">
        <f t="shared" si="3"/>
        <v>0.777041</v>
      </c>
      <c r="F63" s="12">
        <f t="shared" si="4"/>
        <v>0.776756</v>
      </c>
      <c r="G63" s="37" t="str">
        <f>GetUnits($D63)</f>
        <v>-</v>
      </c>
      <c r="H63" s="37"/>
      <c r="I63" s="63"/>
      <c r="J63" s="63"/>
      <c r="K63" s="61"/>
      <c r="L63" s="61"/>
    </row>
    <row r="64" spans="1:12" ht="12.75">
      <c r="A64" s="39" t="s">
        <v>81</v>
      </c>
      <c r="B64" s="6">
        <f t="shared" si="1"/>
        <v>138.44</v>
      </c>
      <c r="C64" s="12">
        <f t="shared" si="2"/>
        <v>137.945</v>
      </c>
      <c r="D64" s="46" t="s">
        <v>79</v>
      </c>
      <c r="E64" s="6">
        <f t="shared" si="3"/>
        <v>207.713</v>
      </c>
      <c r="F64" s="12">
        <f t="shared" si="4"/>
        <v>206.738</v>
      </c>
      <c r="G64" s="37" t="str">
        <f>GetUnits($D64)</f>
        <v>psia/(lbm/ft^3)</v>
      </c>
      <c r="H64" s="37"/>
      <c r="I64" s="63"/>
      <c r="J64" s="63"/>
      <c r="K64" s="61"/>
      <c r="L64" s="61"/>
    </row>
    <row r="65" spans="1:12" ht="12.75">
      <c r="A65" s="39" t="s">
        <v>85</v>
      </c>
      <c r="B65" s="6">
        <f t="shared" si="1"/>
        <v>-6.66413</v>
      </c>
      <c r="C65" s="12">
        <f t="shared" si="2"/>
        <v>-7.19676</v>
      </c>
      <c r="D65" s="46" t="s">
        <v>118</v>
      </c>
      <c r="E65" s="6">
        <f t="shared" si="3"/>
        <v>6.48807</v>
      </c>
      <c r="F65" s="12">
        <f>PropGERG($D65,$J$17,$E$56,$F$56)</f>
        <v>6.26158</v>
      </c>
      <c r="G65" s="37" t="str">
        <f>GetUnits($D65)</f>
        <v>psia/(lbm/ft^3)^2</v>
      </c>
      <c r="H65" s="37"/>
      <c r="I65" s="63"/>
      <c r="J65" s="63"/>
      <c r="K65" s="61"/>
      <c r="L65" s="61"/>
    </row>
    <row r="66" spans="1:12" ht="12.75">
      <c r="A66" s="39" t="s">
        <v>82</v>
      </c>
      <c r="B66" s="6">
        <f t="shared" si="1"/>
        <v>4.89412</v>
      </c>
      <c r="C66" s="12">
        <f t="shared" si="2"/>
        <v>4.87551</v>
      </c>
      <c r="D66" s="46" t="s">
        <v>80</v>
      </c>
      <c r="E66" s="6">
        <f t="shared" si="3"/>
        <v>7.16762</v>
      </c>
      <c r="F66" s="12">
        <f t="shared" si="4"/>
        <v>7.18457</v>
      </c>
      <c r="G66" s="37" t="str">
        <f>GetUnits($D66)</f>
        <v>psia/F</v>
      </c>
      <c r="H66" s="37"/>
      <c r="I66" s="63"/>
      <c r="J66" s="63"/>
      <c r="K66" s="61"/>
      <c r="L66" s="61"/>
    </row>
    <row r="67" spans="1:12" ht="12.75">
      <c r="A67" s="39" t="s">
        <v>66</v>
      </c>
      <c r="B67" s="6">
        <f t="shared" si="1"/>
        <v>-105.527</v>
      </c>
      <c r="C67" s="12">
        <f t="shared" si="2"/>
        <v>-105.049</v>
      </c>
      <c r="D67" s="46" t="s">
        <v>46</v>
      </c>
      <c r="E67" s="6">
        <f t="shared" si="3"/>
        <v>-90.6015</v>
      </c>
      <c r="F67" s="12">
        <f t="shared" si="4"/>
        <v>-90.2797</v>
      </c>
      <c r="G67" s="37" t="str">
        <f t="shared" si="5"/>
        <v>BTU/lbm</v>
      </c>
      <c r="H67" s="37"/>
      <c r="I67" s="63"/>
      <c r="J67" s="63"/>
      <c r="K67" s="61"/>
      <c r="L67" s="61"/>
    </row>
    <row r="68" spans="1:12" ht="12.75">
      <c r="A68" s="39" t="s">
        <v>67</v>
      </c>
      <c r="B68" s="64">
        <f t="shared" si="1"/>
        <v>-71.3161</v>
      </c>
      <c r="C68" s="65">
        <f t="shared" si="2"/>
        <v>-70.7867</v>
      </c>
      <c r="D68" s="46" t="s">
        <v>47</v>
      </c>
      <c r="E68" s="64">
        <f t="shared" si="3"/>
        <v>-48.5618</v>
      </c>
      <c r="F68" s="65">
        <f t="shared" si="4"/>
        <v>-48.2545</v>
      </c>
      <c r="G68" s="37" t="str">
        <f t="shared" si="5"/>
        <v>BTU/lbm</v>
      </c>
      <c r="H68" s="37"/>
      <c r="I68" s="63"/>
      <c r="J68" s="63"/>
      <c r="K68" s="61"/>
      <c r="L68" s="61"/>
    </row>
    <row r="69" spans="1:12" ht="12.75">
      <c r="A69" s="39" t="s">
        <v>68</v>
      </c>
      <c r="B69" s="64">
        <f t="shared" si="1"/>
        <v>-0.451401</v>
      </c>
      <c r="C69" s="65">
        <f t="shared" si="2"/>
        <v>-0.450645</v>
      </c>
      <c r="D69" s="46" t="s">
        <v>48</v>
      </c>
      <c r="E69" s="64">
        <f t="shared" si="3"/>
        <v>-0.44492</v>
      </c>
      <c r="F69" s="65">
        <f t="shared" si="4"/>
        <v>-0.444594</v>
      </c>
      <c r="G69" s="37" t="str">
        <f t="shared" si="5"/>
        <v>BTU/lbm-R</v>
      </c>
      <c r="H69" s="37"/>
      <c r="I69" s="63"/>
      <c r="J69" s="63"/>
      <c r="K69" s="61"/>
      <c r="L69" s="61"/>
    </row>
    <row r="70" spans="1:12" ht="12.75">
      <c r="A70" s="39" t="s">
        <v>69</v>
      </c>
      <c r="B70" s="6">
        <f t="shared" si="1"/>
        <v>0.381273</v>
      </c>
      <c r="C70" s="12">
        <f t="shared" si="2"/>
        <v>0.383082</v>
      </c>
      <c r="D70" s="46" t="s">
        <v>49</v>
      </c>
      <c r="E70" s="6">
        <f t="shared" si="3"/>
        <v>0.398613</v>
      </c>
      <c r="F70" s="12">
        <f t="shared" si="4"/>
        <v>0.395741</v>
      </c>
      <c r="G70" s="37" t="str">
        <f t="shared" si="5"/>
        <v>BTU/lbm-R</v>
      </c>
      <c r="H70" s="37"/>
      <c r="I70" s="63"/>
      <c r="J70" s="63"/>
      <c r="K70" s="61"/>
      <c r="L70" s="61"/>
    </row>
    <row r="71" spans="1:12" ht="12.75">
      <c r="A71" s="39" t="s">
        <v>70</v>
      </c>
      <c r="B71" s="6">
        <f t="shared" si="1"/>
        <v>0.754903</v>
      </c>
      <c r="C71" s="12">
        <f t="shared" si="2"/>
        <v>0.756325</v>
      </c>
      <c r="D71" s="46" t="s">
        <v>50</v>
      </c>
      <c r="E71" s="6">
        <f t="shared" si="3"/>
        <v>0.729127</v>
      </c>
      <c r="F71" s="12">
        <f t="shared" si="4"/>
        <v>0.729156</v>
      </c>
      <c r="G71" s="37" t="str">
        <f t="shared" si="5"/>
        <v>BTU/lbm-R</v>
      </c>
      <c r="H71" s="37"/>
      <c r="I71" s="63"/>
      <c r="J71" s="63"/>
      <c r="K71" s="61"/>
      <c r="L71" s="61"/>
    </row>
    <row r="72" spans="1:12" ht="12.75">
      <c r="A72" s="39" t="s">
        <v>65</v>
      </c>
      <c r="B72" s="6">
        <f t="shared" si="1"/>
        <v>1126.92</v>
      </c>
      <c r="C72" s="12">
        <f t="shared" si="2"/>
        <v>1123.3</v>
      </c>
      <c r="D72" s="45" t="s">
        <v>51</v>
      </c>
      <c r="E72" s="6">
        <f t="shared" si="3"/>
        <v>1326.76</v>
      </c>
      <c r="F72" s="12">
        <f t="shared" si="4"/>
        <v>1328.46</v>
      </c>
      <c r="G72" s="37" t="str">
        <f>GetUnits($D72)</f>
        <v>ft/s</v>
      </c>
      <c r="H72" s="37"/>
      <c r="I72" s="63"/>
      <c r="J72" s="63"/>
      <c r="K72" s="61"/>
      <c r="L72" s="61"/>
    </row>
    <row r="73" spans="1:12" ht="12.75">
      <c r="A73" s="39" t="s">
        <v>84</v>
      </c>
      <c r="B73" s="6">
        <f t="shared" si="1"/>
        <v>150.624</v>
      </c>
      <c r="C73" s="12">
        <f t="shared" si="2"/>
        <v>150.782</v>
      </c>
      <c r="D73" s="45" t="s">
        <v>120</v>
      </c>
      <c r="E73" s="6">
        <f t="shared" si="3"/>
        <v>200.446</v>
      </c>
      <c r="F73" s="12">
        <f t="shared" si="4"/>
        <v>200.572</v>
      </c>
      <c r="G73" s="37" t="str">
        <f>GetUnits($D73)</f>
        <v>BTU/lbm</v>
      </c>
      <c r="H73" s="37"/>
      <c r="I73" s="63"/>
      <c r="J73" s="63"/>
      <c r="K73" s="61"/>
      <c r="L73" s="61"/>
    </row>
    <row r="74" spans="1:12" ht="12.75">
      <c r="A74" s="39" t="s">
        <v>71</v>
      </c>
      <c r="B74" s="6">
        <f t="shared" si="1"/>
        <v>0.0633636</v>
      </c>
      <c r="C74" s="12">
        <f t="shared" si="2"/>
        <v>0.0634682</v>
      </c>
      <c r="D74" s="46" t="s">
        <v>52</v>
      </c>
      <c r="E74" s="6">
        <f t="shared" si="3"/>
        <v>0.0344141</v>
      </c>
      <c r="F74" s="12">
        <f t="shared" si="4"/>
        <v>0.0348273</v>
      </c>
      <c r="G74" s="37" t="str">
        <f t="shared" si="5"/>
        <v>F/psia</v>
      </c>
      <c r="H74" s="37"/>
      <c r="I74" s="63"/>
      <c r="J74" s="63"/>
      <c r="K74" s="61"/>
      <c r="L74" s="61"/>
    </row>
    <row r="75" spans="1:12" ht="13.5" thickBot="1">
      <c r="A75" s="39" t="s">
        <v>86</v>
      </c>
      <c r="B75" s="7">
        <f t="shared" si="1"/>
        <v>1.48265</v>
      </c>
      <c r="C75" s="9">
        <f t="shared" si="2"/>
        <v>1.47094</v>
      </c>
      <c r="D75" s="46" t="s">
        <v>87</v>
      </c>
      <c r="E75" s="7">
        <f t="shared" si="3"/>
        <v>1.67241</v>
      </c>
      <c r="F75" s="9">
        <f t="shared" si="4"/>
        <v>1.67729</v>
      </c>
      <c r="G75" s="37" t="str">
        <f>GetUnits($D75)</f>
        <v>-</v>
      </c>
      <c r="H75" s="37"/>
      <c r="I75" s="63"/>
      <c r="J75" s="63"/>
      <c r="K75" s="61"/>
      <c r="L75" s="61"/>
    </row>
    <row r="76" spans="1:12" ht="12.75">
      <c r="A76" s="1" t="s">
        <v>76</v>
      </c>
      <c r="H76" s="18"/>
      <c r="J76" s="2"/>
      <c r="K76" s="2"/>
      <c r="L76" s="2"/>
    </row>
    <row r="77" ht="12">
      <c r="A77" s="1" t="s">
        <v>77</v>
      </c>
    </row>
    <row r="82" spans="2:3" ht="12">
      <c r="B82" s="47" t="s">
        <v>57</v>
      </c>
      <c r="C82" s="44"/>
    </row>
    <row r="83" spans="1:2" ht="12.75" thickBot="1">
      <c r="A83" s="29"/>
      <c r="B83" s="28" t="s">
        <v>24</v>
      </c>
    </row>
    <row r="84" spans="1:3" ht="12">
      <c r="A84" s="40" t="s">
        <v>121</v>
      </c>
      <c r="B84" s="23">
        <f>B21</f>
        <v>60</v>
      </c>
      <c r="C84" s="36" t="str">
        <f>GetUnits("T")</f>
        <v>F</v>
      </c>
    </row>
    <row r="85" spans="1:3" ht="12">
      <c r="A85" s="39" t="s">
        <v>38</v>
      </c>
      <c r="B85" s="24">
        <f>C21</f>
        <v>150</v>
      </c>
      <c r="C85" s="36" t="str">
        <f>GetUnits("P")</f>
        <v>psia</v>
      </c>
    </row>
    <row r="86" spans="1:4" ht="12">
      <c r="A86" s="39" t="s">
        <v>122</v>
      </c>
      <c r="B86" s="25">
        <f>K22</f>
        <v>2</v>
      </c>
      <c r="C86" s="36"/>
      <c r="D86" s="27"/>
    </row>
    <row r="87" spans="1:4" ht="12">
      <c r="A87" s="39" t="s">
        <v>123</v>
      </c>
      <c r="B87" s="25">
        <f>K23</f>
        <v>6</v>
      </c>
      <c r="C87" s="36"/>
      <c r="D87" s="27"/>
    </row>
    <row r="88" spans="1:4" ht="12">
      <c r="A88" s="39" t="s">
        <v>124</v>
      </c>
      <c r="B88" s="25">
        <f>D30</f>
        <v>0.710973</v>
      </c>
      <c r="C88" s="36"/>
      <c r="D88" s="27"/>
    </row>
    <row r="89" spans="1:4" ht="12.75" thickBot="1">
      <c r="A89" s="39" t="s">
        <v>125</v>
      </c>
      <c r="B89" s="26">
        <f>D31</f>
        <v>1053.56</v>
      </c>
      <c r="C89" s="38" t="str">
        <f>GetUnits("HV")</f>
        <v>BTU/ft^3</v>
      </c>
      <c r="D89" s="27"/>
    </row>
    <row r="90" ht="12">
      <c r="D90" s="27"/>
    </row>
    <row r="91" spans="2:3" ht="12.75" thickBot="1">
      <c r="B91" s="28" t="s">
        <v>55</v>
      </c>
      <c r="C91" s="28" t="s">
        <v>56</v>
      </c>
    </row>
    <row r="92" spans="1:7" ht="12">
      <c r="A92" s="39" t="s">
        <v>40</v>
      </c>
      <c r="B92" s="10">
        <f>DGross1($B$84,$B$85,$B$87,$B$88,$B$89)</f>
        <v>0.568836</v>
      </c>
      <c r="C92" s="11">
        <f>DGross2($B$84,$B$85,$B$86,$B$87,$B$88)</f>
        <v>0.569269</v>
      </c>
      <c r="D92" s="36" t="str">
        <f>GetUnits("D")</f>
        <v>lbm/ft^3</v>
      </c>
      <c r="F92" s="59"/>
      <c r="G92" s="59"/>
    </row>
    <row r="93" spans="1:7" ht="12">
      <c r="A93" s="39" t="s">
        <v>14</v>
      </c>
      <c r="B93" s="6">
        <f>ZGross1($B$84,$B$85,$B$87,$B$88,$B$89)</f>
        <v>0.971318</v>
      </c>
      <c r="C93" s="12">
        <f>ZGross2($B$84,$B$85,$B$86,$B$87,$B$88)</f>
        <v>0.970505</v>
      </c>
      <c r="D93" s="36"/>
      <c r="F93" s="59"/>
      <c r="G93" s="59"/>
    </row>
    <row r="94" spans="1:7" ht="12">
      <c r="A94" s="39" t="s">
        <v>38</v>
      </c>
      <c r="B94" s="6">
        <f>PropGross1("P",$B$84,$B$85,$B$87,$B$88,$B$89)</f>
        <v>150</v>
      </c>
      <c r="C94" s="12">
        <f>PropGross2("P",$B$84,$B$85,$B$86,$B$87,$B$88)</f>
        <v>150</v>
      </c>
      <c r="D94" s="36" t="str">
        <f>GetUnits("P")</f>
        <v>psia</v>
      </c>
      <c r="F94" s="59"/>
      <c r="G94" s="59"/>
    </row>
    <row r="95" spans="1:7" ht="12">
      <c r="A95" s="39" t="s">
        <v>42</v>
      </c>
      <c r="B95" s="6">
        <f>PropGross1("Mm",$B$84,$B$85,$B$87,$B$88,$B$89)</f>
        <v>20.5424</v>
      </c>
      <c r="C95" s="12">
        <f>PropGross2("Mm",$B$84,$B$85,$B$86,$B$87,$B$88)</f>
        <v>20.5408</v>
      </c>
      <c r="D95" s="36" t="s">
        <v>39</v>
      </c>
      <c r="F95" s="59"/>
      <c r="G95" s="59"/>
    </row>
    <row r="96" spans="1:7" ht="12">
      <c r="A96" s="39" t="s">
        <v>126</v>
      </c>
      <c r="B96" s="6">
        <f>PropGross1("RD",$B$84,$B$85,$B$87,$B$88,$B$89)</f>
        <v>0.710973</v>
      </c>
      <c r="C96" s="12">
        <f>PropGross2("RD",$B$84,$B$85,$B$86,$B$87,$B$88)</f>
        <v>0.710973</v>
      </c>
      <c r="D96" s="36"/>
      <c r="F96" s="59"/>
      <c r="G96" s="59"/>
    </row>
    <row r="97" spans="1:7" ht="12">
      <c r="A97" s="40" t="s">
        <v>97</v>
      </c>
      <c r="B97" s="6">
        <f>PropGross1("HN",$B$84,$B$85,$B$87,$B$88,$B$89)</f>
        <v>397769</v>
      </c>
      <c r="C97" s="12">
        <f>PropGross2("HN",$B$84,$B$85,$B$86,$B$87,$B$88)</f>
        <v>405215</v>
      </c>
      <c r="D97" s="38" t="str">
        <f>GetUnits("HN")</f>
        <v>BTU/lbmol</v>
      </c>
      <c r="F97" s="59"/>
      <c r="G97" s="59"/>
    </row>
    <row r="98" spans="1:7" ht="12">
      <c r="A98" s="41" t="s">
        <v>98</v>
      </c>
      <c r="B98" s="6">
        <f>PropGross1("MHN",$B$84,$B$85,$B$87,$B$88,$B$89)</f>
        <v>19.3634</v>
      </c>
      <c r="C98" s="12">
        <f>PropGross2("MHN",$B$84,$B$86,$B$86,$B$87,$B$88)</f>
        <v>19.7273</v>
      </c>
      <c r="D98" s="38" t="str">
        <f>GetUnits("MHN")</f>
        <v>BTU/lbm</v>
      </c>
      <c r="F98" s="59"/>
      <c r="G98" s="59"/>
    </row>
    <row r="99" spans="1:7" ht="12.75" thickBot="1">
      <c r="A99" s="41" t="s">
        <v>99</v>
      </c>
      <c r="B99" s="7">
        <f>PropGross1("HV",$B$84,$B$85,$B$87,$B$88,$B$89)</f>
        <v>1053.56</v>
      </c>
      <c r="C99" s="9">
        <f>PropGross2("HV",$B$84,$B$85,$B$86,$B$87,$B$88)</f>
        <v>1073.36</v>
      </c>
      <c r="D99" s="38" t="str">
        <f>GetUnits("HV")</f>
        <v>BTU/ft^3</v>
      </c>
      <c r="F99" s="59"/>
      <c r="G99" s="59"/>
    </row>
    <row r="101" ht="12">
      <c r="A101" s="1" t="s">
        <v>114</v>
      </c>
    </row>
    <row r="102" ht="12">
      <c r="A102" s="1" t="s">
        <v>115</v>
      </c>
    </row>
    <row r="103" ht="12">
      <c r="A103" s="1" t="s">
        <v>72</v>
      </c>
    </row>
    <row r="104" ht="12">
      <c r="A104" s="1" t="s">
        <v>100</v>
      </c>
    </row>
    <row r="107" ht="12.75">
      <c r="I107" s="18"/>
    </row>
    <row r="108" spans="9:12" ht="12.75">
      <c r="I108" s="18"/>
      <c r="J108" s="2"/>
      <c r="L108" s="2"/>
    </row>
    <row r="109" spans="9:12" ht="12.75">
      <c r="I109" s="18"/>
      <c r="J109" s="60"/>
      <c r="L109" s="60"/>
    </row>
    <row r="110" spans="9:12" ht="12.75">
      <c r="I110" s="18"/>
      <c r="J110" s="60"/>
      <c r="L110" s="60"/>
    </row>
    <row r="111" spans="9:13" ht="12.75">
      <c r="I111" s="62"/>
      <c r="K111" s="62"/>
      <c r="M111" s="62"/>
    </row>
    <row r="112" spans="9:13" ht="12.75">
      <c r="I112" s="62"/>
      <c r="K112" s="62"/>
      <c r="L112" s="2"/>
      <c r="M112" s="62"/>
    </row>
    <row r="113" spans="9:13" ht="12.75">
      <c r="I113" s="18"/>
      <c r="J113" s="60"/>
      <c r="K113" s="60"/>
      <c r="L113" s="60"/>
      <c r="M113" s="60"/>
    </row>
    <row r="114" spans="9:13" ht="12.75">
      <c r="I114" s="18"/>
      <c r="J114" s="60"/>
      <c r="K114" s="60"/>
      <c r="L114" s="60"/>
      <c r="M114" s="60"/>
    </row>
    <row r="115" spans="9:13" ht="12.75">
      <c r="I115" s="18"/>
      <c r="J115" s="60"/>
      <c r="K115" s="60"/>
      <c r="L115" s="60"/>
      <c r="M115" s="60"/>
    </row>
    <row r="116" spans="9:13" ht="12.75">
      <c r="I116" s="18"/>
      <c r="J116" s="60"/>
      <c r="K116" s="60"/>
      <c r="L116" s="60"/>
      <c r="M116" s="60"/>
    </row>
    <row r="117" spans="9:13" ht="12.75">
      <c r="I117" s="18"/>
      <c r="J117" s="60"/>
      <c r="K117" s="60"/>
      <c r="L117" s="60"/>
      <c r="M117" s="60"/>
    </row>
    <row r="118" spans="9:13" ht="12.75">
      <c r="I118" s="18"/>
      <c r="J118" s="60"/>
      <c r="K118" s="60"/>
      <c r="L118" s="60"/>
      <c r="M118" s="60"/>
    </row>
    <row r="119" spans="9:13" ht="12.75">
      <c r="I119" s="18"/>
      <c r="J119" s="60"/>
      <c r="K119" s="60"/>
      <c r="L119" s="60"/>
      <c r="M119" s="60"/>
    </row>
    <row r="120" spans="9:13" ht="12.75">
      <c r="I120" s="18"/>
      <c r="J120" s="60"/>
      <c r="K120" s="60"/>
      <c r="L120" s="60"/>
      <c r="M120" s="60"/>
    </row>
    <row r="121" spans="9:13" ht="12.75">
      <c r="I121" s="18"/>
      <c r="J121" s="60"/>
      <c r="K121" s="60"/>
      <c r="L121" s="60"/>
      <c r="M121" s="60"/>
    </row>
    <row r="122" spans="9:13" ht="12.75">
      <c r="I122" s="18"/>
      <c r="J122" s="60"/>
      <c r="K122" s="60"/>
      <c r="L122" s="60"/>
      <c r="M122" s="60"/>
    </row>
    <row r="123" spans="9:12" ht="12.75">
      <c r="I123" s="18"/>
      <c r="J123" s="2"/>
      <c r="K123" s="60"/>
      <c r="L123" s="2"/>
    </row>
    <row r="124" spans="9:12" ht="12.75">
      <c r="I124" s="18"/>
      <c r="J124" s="2"/>
      <c r="K124" s="60"/>
      <c r="L124" s="2"/>
    </row>
    <row r="125" spans="9:11" ht="12.75">
      <c r="I125" s="18"/>
      <c r="J125" s="2"/>
      <c r="K125" s="6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W. Lemmon</dc:creator>
  <cp:keywords/>
  <dc:description/>
  <cp:lastModifiedBy>Lemmon, Eric W.</cp:lastModifiedBy>
  <cp:lastPrinted>2016-05-23T22:16:25Z</cp:lastPrinted>
  <dcterms:created xsi:type="dcterms:W3CDTF">2014-09-18T15:23:20Z</dcterms:created>
  <dcterms:modified xsi:type="dcterms:W3CDTF">2016-07-05T17:26:43Z</dcterms:modified>
  <cp:category/>
  <cp:version/>
  <cp:contentType/>
  <cp:contentStatus/>
</cp:coreProperties>
</file>